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-120" yWindow="-120" windowWidth="21840" windowHeight="13740" tabRatio="790" firstSheet="3" activeTab="5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45621"/>
</workbook>
</file>

<file path=xl/calcChain.xml><?xml version="1.0" encoding="utf-8"?>
<calcChain xmlns="http://schemas.openxmlformats.org/spreadsheetml/2006/main">
  <c r="B29" i="30" l="1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C7" i="26"/>
  <c r="C8" i="26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<sst xmlns="http://schemas.openxmlformats.org/spreadsheetml/2006/main" count="1193" uniqueCount="587">
  <si>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</si>
  <si>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</si>
  <si>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</si>
  <si>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</si>
  <si>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</si>
  <si>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</si>
  <si>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</si>
  <si>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</si>
  <si>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</si>
  <si>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</si>
  <si>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</si>
  <si>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</si>
  <si>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</si>
  <si>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</si>
  <si>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</si>
  <si>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</si>
  <si>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</si>
  <si>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</si>
  <si>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</si>
  <si>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</si>
  <si>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</si>
  <si>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</si>
  <si>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</si>
  <si>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</si>
  <si>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</si>
  <si>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</si>
  <si>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</si>
  <si>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</si>
  <si>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</si>
  <si>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</si>
  <si>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</si>
  <si>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</si>
  <si>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</si>
  <si>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</si>
  <si>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</si>
  <si>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</si>
  <si>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</si>
  <si>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</si>
  <si>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</si>
  <si>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</si>
  <si>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</si>
  <si>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</si>
  <si>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</si>
  <si>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</si>
  <si>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</si>
  <si>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</si>
  <si>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</si>
  <si>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</si>
  <si>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</si>
  <si>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</si>
  <si>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</si>
  <si>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</si>
  <si>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</si>
  <si>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</si>
  <si>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</si>
  <si>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</si>
  <si>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</si>
  <si>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</si>
  <si>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</si>
  <si>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</si>
  <si>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</si>
  <si>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</si>
  <si>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</si>
  <si>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</si>
  <si>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</si>
  <si>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</si>
  <si>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</si>
  <si>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</si>
  <si>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</si>
  <si>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</si>
  <si>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</si>
  <si>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</si>
  <si>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</si>
  <si>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</si>
  <si>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</si>
  <si>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</si>
  <si>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</si>
  <si>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</si>
  <si>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</si>
  <si>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</si>
  <si>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</si>
  <si>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</si>
  <si>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</si>
  <si>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</si>
  <si>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</si>
  <si>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</si>
  <si>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</si>
  <si>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</si>
  <si>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</si>
  <si>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</si>
  <si>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</si>
  <si>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</si>
  <si>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</si>
  <si>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</si>
  <si>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</si>
  <si>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</si>
  <si>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</si>
  <si>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</si>
  <si>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</si>
  <si>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</si>
  <si>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</si>
  <si>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</si>
  <si>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</si>
  <si>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</si>
  <si>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</si>
  <si>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</si>
  <si>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</si>
  <si>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</si>
  <si>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</si>
  <si>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</si>
  <si>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</si>
  <si>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</si>
  <si>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</si>
  <si>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</si>
  <si>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</si>
  <si>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</si>
  <si>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</si>
  <si>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</si>
  <si>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</si>
  <si>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</si>
  <si>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</si>
  <si>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</si>
  <si>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</si>
  <si>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</si>
  <si>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</si>
  <si>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</si>
  <si>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</si>
  <si>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</si>
  <si>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</si>
  <si>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</si>
  <si>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</si>
  <si>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</si>
  <si>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</si>
  <si>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</si>
  <si>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</si>
  <si>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</si>
  <si>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</si>
  <si>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</si>
  <si>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</si>
  <si>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</si>
  <si>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</si>
  <si>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</si>
  <si>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</si>
  <si>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</si>
  <si>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</si>
  <si>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</si>
  <si>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</si>
  <si>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</si>
  <si>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</si>
  <si>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</si>
  <si>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</si>
  <si>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</si>
  <si>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</si>
  <si>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</si>
  <si>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</si>
  <si>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</si>
  <si>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</si>
  <si>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</si>
  <si>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</si>
  <si>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</si>
  <si>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</si>
  <si>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</si>
  <si>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</si>
  <si>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</si>
  <si>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</si>
  <si>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</si>
  <si>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</si>
  <si>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</si>
  <si>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</si>
  <si>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</si>
  <si>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</si>
  <si>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</si>
  <si>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</si>
  <si>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</si>
  <si>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</si>
  <si>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</si>
  <si>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</si>
  <si>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</si>
  <si>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</si>
  <si>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</si>
  <si>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</si>
  <si>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</si>
  <si>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</si>
  <si>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</si>
  <si>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</si>
  <si>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</si>
  <si>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</si>
  <si>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</si>
  <si>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</si>
  <si>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</si>
  <si>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</si>
  <si>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</si>
  <si>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</si>
  <si>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</si>
  <si>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</si>
  <si>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</si>
  <si>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</si>
  <si>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</si>
  <si>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</si>
  <si>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</si>
  <si>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</si>
  <si>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</si>
  <si>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</si>
  <si>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</si>
  <si>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</si>
  <si>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</si>
  <si>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</si>
  <si>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</si>
  <si>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</si>
  <si>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</si>
  <si>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</si>
  <si>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</si>
  <si>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</si>
  <si>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</si>
  <si>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</si>
  <si>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</si>
  <si>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</si>
  <si>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</si>
  <si>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</si>
  <si>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</si>
  <si>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</si>
  <si>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</si>
  <si>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</si>
  <si>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</si>
  <si>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</si>
  <si>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</si>
  <si>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</si>
  <si>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</si>
  <si>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</si>
  <si>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</si>
  <si>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</si>
  <si>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</si>
  <si>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</si>
  <si>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</si>
  <si>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</si>
  <si>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</si>
  <si>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</si>
  <si>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</si>
  <si>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</si>
  <si>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</si>
  <si>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</si>
  <si>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</si>
  <si>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</si>
  <si>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</si>
  <si>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</si>
  <si>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</si>
  <si>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</si>
  <si>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</si>
  <si>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</si>
  <si>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</si>
  <si>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</si>
  <si>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</si>
  <si>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</si>
  <si>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</si>
  <si>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</si>
  <si>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</si>
  <si>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</si>
  <si>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</si>
  <si>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</si>
  <si>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</si>
  <si>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</si>
  <si>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</si>
  <si>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</si>
  <si>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</si>
  <si>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</si>
  <si>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</si>
  <si>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</si>
  <si>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</si>
  <si>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</si>
  <si>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</si>
  <si>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</si>
  <si>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</si>
  <si>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</si>
  <si>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</si>
  <si>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</si>
  <si>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</si>
  <si>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</si>
  <si>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</si>
  <si>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</si>
  <si>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</si>
  <si>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</si>
  <si>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</si>
  <si>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</si>
  <si>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</si>
  <si>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</si>
  <si>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</si>
  <si>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</si>
  <si>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</si>
  <si>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</si>
  <si>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</si>
  <si>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</si>
  <si>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</si>
  <si>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</si>
  <si>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</si>
  <si>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</si>
  <si>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</si>
  <si>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</si>
  <si>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</si>
  <si>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</si>
  <si>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</si>
  <si>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</si>
  <si>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</si>
  <si>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</si>
  <si>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</si>
  <si>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</si>
  <si>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</si>
  <si>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</si>
  <si>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</si>
  <si>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</si>
  <si>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</si>
  <si>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</si>
  <si>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</si>
  <si>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</si>
  <si>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</si>
  <si>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</si>
  <si>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</si>
  <si>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</si>
  <si>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</si>
  <si>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</si>
  <si>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</si>
  <si>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</si>
  <si>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</si>
  <si>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</si>
  <si>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</si>
  <si>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</si>
  <si>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</si>
  <si>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</si>
  <si>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</si>
  <si>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</si>
  <si>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</si>
  <si>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</si>
  <si>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</si>
  <si>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</si>
  <si>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</si>
  <si>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</si>
  <si>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</si>
  <si>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</si>
  <si>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</si>
  <si>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</si>
  <si>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</si>
  <si>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</si>
  <si>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</si>
  <si>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</si>
  <si>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</si>
  <si>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</si>
  <si>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</si>
  <si>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</si>
  <si>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</si>
  <si>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</si>
  <si>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</si>
  <si>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</si>
  <si>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</si>
  <si>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</si>
  <si>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</si>
  <si>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</si>
  <si>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</si>
  <si>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</si>
  <si>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</si>
  <si>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</si>
  <si>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</si>
  <si>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</si>
  <si>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</si>
  <si>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</si>
  <si>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</si>
  <si>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</si>
  <si>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</si>
  <si>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</si>
  <si>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</si>
  <si>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</si>
  <si>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</si>
  <si>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</si>
  <si>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</si>
  <si>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</si>
  <si>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</si>
  <si>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</si>
  <si>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</si>
  <si>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</si>
  <si>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</si>
  <si>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</si>
  <si>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</si>
  <si>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</si>
  <si>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</si>
  <si>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</si>
  <si>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</si>
  <si>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</si>
  <si>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</si>
  <si>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</si>
  <si>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</si>
  <si>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</si>
  <si>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</si>
  <si>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</si>
  <si>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</si>
  <si>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</si>
  <si>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</si>
  <si>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</si>
  <si>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</si>
  <si>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</si>
  <si>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</si>
  <si>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</si>
  <si>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</si>
  <si>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</si>
  <si>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</si>
  <si>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</si>
  <si>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</si>
  <si>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</si>
  <si>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</si>
  <si>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</si>
  <si>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</si>
  <si>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</si>
  <si>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</si>
  <si>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</si>
  <si>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</si>
  <si>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</si>
  <si>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</si>
  <si>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</si>
  <si>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</si>
  <si>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</si>
  <si>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</si>
  <si>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</si>
  <si>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</si>
  <si>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</si>
  <si>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</si>
  <si>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</si>
  <si>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</si>
  <si>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</si>
  <si>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</si>
  <si>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</si>
  <si>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</si>
  <si>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</si>
  <si>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</si>
  <si>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</si>
  <si>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</si>
  <si>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</si>
  <si>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</si>
  <si>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</si>
  <si>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</si>
  <si>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</si>
  <si>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</si>
  <si>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</si>
  <si>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</si>
  <si>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</si>
  <si>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</si>
  <si>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</si>
  <si>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</si>
  <si>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</si>
  <si>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</si>
  <si>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</si>
  <si>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</si>
  <si>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</si>
  <si>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</si>
  <si>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</si>
  <si>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</si>
  <si>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</si>
  <si>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</si>
  <si>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</si>
  <si>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</si>
  <si>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</si>
  <si>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</si>
  <si>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</si>
  <si>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</si>
  <si>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</si>
  <si>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</si>
  <si>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</si>
  <si>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</si>
  <si>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</si>
  <si>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</si>
  <si>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</si>
  <si>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</si>
  <si>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</si>
  <si>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</si>
  <si>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</si>
  <si>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</si>
  <si>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</si>
  <si>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</si>
  <si>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</si>
  <si>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</si>
  <si>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</si>
  <si>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</si>
  <si>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</si>
  <si>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</si>
  <si>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</si>
  <si>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</si>
  <si>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</si>
  <si>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</si>
  <si>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</si>
  <si>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</si>
  <si>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</si>
  <si>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</si>
  <si>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</si>
  <si>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</si>
  <si>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</si>
  <si>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</si>
  <si>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</si>
  <si>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</si>
  <si>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</si>
  <si>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</si>
  <si>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</si>
  <si>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</si>
  <si>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</si>
  <si>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</si>
  <si>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</si>
  <si>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</si>
  <si>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</si>
  <si>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</si>
  <si>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</si>
  <si>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</si>
  <si>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</si>
  <si>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</si>
  <si>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</si>
  <si>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 xml:space="preserve"> 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</si>
  <si>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</si>
  <si>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</si>
  <si>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</si>
  <si>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</si>
  <si>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</si>
  <si>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</si>
  <si>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</si>
  <si>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</si>
  <si>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</si>
  <si>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</si>
  <si>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</si>
  <si>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</si>
  <si>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</si>
  <si>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</si>
  <si>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</si>
  <si>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</si>
  <si>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</si>
  <si>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</si>
  <si>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</si>
  <si>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</si>
  <si>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</si>
  <si>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</si>
  <si>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</si>
  <si>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</si>
  <si>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</si>
  <si>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</si>
  <si>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</si>
  <si>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</si>
  <si>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</si>
  <si>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</si>
  <si>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</si>
  <si>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</si>
  <si>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</si>
  <si>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</si>
  <si>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</si>
  <si>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</si>
  <si>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</si>
  <si>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</si>
  <si>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</si>
  <si>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</si>
  <si>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</si>
  <si>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</si>
  <si>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</si>
  <si>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</si>
  <si>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</si>
  <si>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</si>
  <si>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</si>
  <si>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</si>
  <si>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</si>
  <si>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</si>
  <si>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</si>
  <si>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</si>
  <si>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</si>
  <si>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</si>
  <si>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</si>
  <si>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</si>
  <si>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</si>
  <si>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</si>
  <si>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</si>
  <si>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</si>
  <si>
    <t>Raków, ul. Ogrodowa 1</t>
  </si>
  <si>
    <t>rutynowe</t>
  </si>
  <si>
    <t>Spot reklamowwy w Radio Kielce dotyczący programu Czyste Powietze , dofinansowań do wymiany źródeł ciepła, termomodernizacji budynków</t>
  </si>
  <si>
    <t xml:space="preserve">Spotkania edukacyjne z mieszkańcami dotyczące ochrony powietrza, wymiany nieefektywnych źródeł ciepła (dwa spotkania w roku) </t>
  </si>
  <si>
    <t>Zlikwidowano nieefektywne źródło ciepła</t>
  </si>
  <si>
    <t>Chańcza</t>
  </si>
  <si>
    <t>Budżet urzędu gminy w Rakowie 349000,00 zł, środki  z Programu Rozwoju Obszarów Wiejskich na lata 2014-2020 - -500000,00 zl</t>
  </si>
  <si>
    <t>teren gminy</t>
  </si>
  <si>
    <t>Program Czyste Powietrze</t>
  </si>
  <si>
    <t xml:space="preserve"> Program Czyste Powietrze</t>
  </si>
  <si>
    <t>Agnieszka Rejnowicz</t>
  </si>
  <si>
    <t>41/3535018</t>
  </si>
  <si>
    <t>a.rejnowicz@rakow.pl</t>
  </si>
  <si>
    <t>busżet gminy Raków (środki własne) 269015,00 zł, środki z Programu Polski Ład 2421135,00</t>
  </si>
  <si>
    <t xml:space="preserve">Stoisko promujące Program Czyste Powietrze w tym wymianę tzw. kocpiuchów podczas uroczystości gminnej ,,W dzień św. Tekli ziemniak będziem piekli". </t>
  </si>
  <si>
    <t>działanie bezkosztowe</t>
  </si>
  <si>
    <t>Wydruk ulotek , broszur zachęcajacych do wymiany źródeł ciepła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</si>
</sst>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14" fillId="5" borderId="1" xfId="3" applyFill="1" applyBorder="1" applyAlignment="1" applyProtection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14" fillId="5" borderId="1" xfId="3" applyFill="1" applyBorder="1" applyAlignment="1" applyProtection="1">
      <alignment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66" headerRowBorderDxfId="65" tableBorderDxfId="64">
  <autoFilter ref="A2:F16"/>
  <tableColumns count="6">
    <tableColumn id="1" name="kod powiatu" dataDxfId="63" dataCellStyle="Normalny 2"/>
    <tableColumn id="2" name="powiat" dataDxfId="62" dataCellStyle="Normalny 2"/>
    <tableColumn id="6" name="kod powiatu2" dataDxfId="61" dataCellStyle="Normalny 2">
      <calculatedColumnFormula>powiaty_26[[#This Row],[kod powiatu]]</calculatedColumnFormula>
    </tableColumn>
    <tableColumn id="4" name="kod strefy" dataDxfId="60" dataCellStyle="Normalny 2"/>
    <tableColumn id="5" name="nazwa strefy" dataDxfId="59" dataCellStyle="Normalny 2">
      <calculatedColumnFormula>VLOOKUP(powiaty_26[[#This Row],[kod strefy]],strefy_26[],2,FALSE)</calculatedColumnFormula>
    </tableColumn>
    <tableColumn id="3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57" dataDxfId="55" headerRowBorderDxfId="56" tableBorderDxfId="54">
  <autoFilter ref="H2:K4"/>
  <tableColumns count="4">
    <tableColumn id="1" name="kod strefy" dataDxfId="53"/>
    <tableColumn id="2" name="nazwa strefy" dataDxfId="52"/>
    <tableColumn id="3" name="województo" dataDxfId="51"/>
    <tableColumn id="4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9" dataDxfId="47" headerRowBorderDxfId="48" tableBorderDxfId="46">
  <autoFilter ref="M2:N10"/>
  <tableColumns count="2">
    <tableColumn id="1" name="kod zadania" dataDxfId="45"/>
    <tableColumn id="2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9" dataDxfId="37" headerRowBorderDxfId="38" tableBorderDxfId="36">
  <autoFilter ref="A3:Q105"/>
  <tableColumns count="17">
    <tableColumn id="1" name="kod gminy" dataDxfId="35"/>
    <tableColumn id="2" name="nazwa gminy" dataDxfId="34"/>
    <tableColumn id="15" name="kod gminy2" dataDxfId="33">
      <calculatedColumnFormula>gminy_26[[#This Row],[kod gminy]]</calculatedColumnFormula>
    </tableColumn>
    <tableColumn id="3" name="kod powiatu" dataDxfId="32"/>
    <tableColumn id="4" name="nazwa powiatu" dataDxfId="31">
      <calculatedColumnFormula>VLOOKUP(gminy_26[[#This Row],[kod powiatu]],powiaty_26[],katalogi!$B$1,FALSE)</calculatedColumnFormula>
    </tableColumn>
    <tableColumn id="5" name="kod strefy" dataDxfId="30"/>
    <tableColumn id="6" name="nazwa strefy" dataDxfId="29">
      <calculatedColumnFormula>VLOOKUP(gminy_26[[#This Row],[kod strefy]],strefy_26[],2,FALSE)</calculatedColumnFormula>
    </tableColumn>
    <tableColumn id="7" name="ogółem" dataDxfId="28"/>
    <tableColumn id="8" name="2020" dataDxfId="27"/>
    <tableColumn id="9" name="2021" dataDxfId="26"/>
    <tableColumn id="10" name="2022" dataDxfId="25"/>
    <tableColumn id="11" name="2023" dataDxfId="24"/>
    <tableColumn id="12" name="2024" dataDxfId="23"/>
    <tableColumn id="13" name="2025" dataDxfId="22"/>
    <tableColumn id="16" name="2026" dataDxfId="21"/>
    <tableColumn id="17" name="EE" dataDxfId="20"/>
    <tableColumn id="14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18" headerRowBorderDxfId="17" tableBorderDxfId="16" totalsRowBorderDxfId="15">
  <autoFilter ref="A4:E16"/>
  <tableColumns count="5">
    <tableColumn id="1" name="kod_efektu" dataDxfId="14"/>
    <tableColumn id="2" name="opis" dataDxfId="13"/>
    <tableColumn id="3" name="PM10" dataDxfId="12"/>
    <tableColumn id="4" name="PM2,5" dataDxfId="11"/>
    <tableColumn id="5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rejnowicz@rakow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4" workbookViewId="0">
      <selection activeCell="D54" sqref="D54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551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54" t="s">
        <v>506</v>
      </c>
      <c r="B4" s="255"/>
      <c r="C4" s="255"/>
      <c r="D4" s="256"/>
    </row>
    <row r="5" spans="1:4" ht="16.5" thickBot="1" x14ac:dyDescent="0.3">
      <c r="A5" s="151" t="s">
        <v>7</v>
      </c>
      <c r="B5" s="152" t="s">
        <v>507</v>
      </c>
      <c r="C5" s="257" t="s">
        <v>514</v>
      </c>
      <c r="D5" s="258"/>
    </row>
    <row r="6" spans="1:4" ht="54" customHeight="1" thickBot="1" x14ac:dyDescent="0.25">
      <c r="A6" s="134">
        <v>1</v>
      </c>
      <c r="B6" s="135" t="s">
        <v>508</v>
      </c>
      <c r="C6" s="259">
        <v>2023</v>
      </c>
      <c r="D6" s="260"/>
    </row>
    <row r="7" spans="1:4" ht="16.5" thickBot="1" x14ac:dyDescent="0.25">
      <c r="A7" s="134">
        <v>2</v>
      </c>
      <c r="B7" s="135" t="s">
        <v>8</v>
      </c>
      <c r="C7" s="261" t="s">
        <v>56</v>
      </c>
      <c r="D7" s="262"/>
    </row>
    <row r="8" spans="1:4" ht="16.5" thickBot="1" x14ac:dyDescent="0.25">
      <c r="A8" s="134">
        <v>3</v>
      </c>
      <c r="B8" s="135" t="s">
        <v>524</v>
      </c>
      <c r="C8" s="261" t="s">
        <v>60</v>
      </c>
      <c r="D8" s="262"/>
    </row>
    <row r="9" spans="1:4" ht="40.5" customHeight="1" thickBot="1" x14ac:dyDescent="0.25">
      <c r="A9" s="134">
        <v>4</v>
      </c>
      <c r="B9" s="135" t="s">
        <v>555</v>
      </c>
      <c r="C9" s="261" t="s">
        <v>525</v>
      </c>
      <c r="D9" s="262"/>
    </row>
    <row r="10" spans="1:4" ht="63" customHeight="1" thickBot="1" x14ac:dyDescent="0.25">
      <c r="A10" s="134">
        <v>5</v>
      </c>
      <c r="B10" s="135" t="s">
        <v>510</v>
      </c>
      <c r="C10" s="252"/>
      <c r="D10" s="253"/>
    </row>
    <row r="11" spans="1:4" ht="38.25" customHeight="1" thickBot="1" x14ac:dyDescent="0.25">
      <c r="A11" s="134">
        <v>6</v>
      </c>
      <c r="B11" s="135" t="s">
        <v>556</v>
      </c>
      <c r="C11" s="252"/>
      <c r="D11" s="253"/>
    </row>
    <row r="12" spans="1:4" ht="49.5" customHeight="1" thickBot="1" x14ac:dyDescent="0.25">
      <c r="A12" s="134">
        <v>7</v>
      </c>
      <c r="B12" s="135" t="s">
        <v>557</v>
      </c>
      <c r="C12" s="263"/>
      <c r="D12" s="264"/>
    </row>
    <row r="13" spans="1:4" ht="77.25" customHeight="1" thickBot="1" x14ac:dyDescent="0.25">
      <c r="A13" s="134">
        <v>8</v>
      </c>
      <c r="B13" s="135" t="s">
        <v>558</v>
      </c>
      <c r="C13" s="252" t="s">
        <v>509</v>
      </c>
      <c r="D13" s="253"/>
    </row>
    <row r="14" spans="1:4" ht="79.5" customHeight="1" thickBot="1" x14ac:dyDescent="0.25">
      <c r="A14" s="134">
        <v>9</v>
      </c>
      <c r="B14" s="135" t="s">
        <v>559</v>
      </c>
      <c r="C14" s="252" t="s">
        <v>509</v>
      </c>
      <c r="D14" s="253"/>
    </row>
    <row r="15" spans="1:4" ht="109.5" customHeight="1" thickBot="1" x14ac:dyDescent="0.25">
      <c r="A15" s="134">
        <v>10</v>
      </c>
      <c r="B15" s="135" t="s">
        <v>560</v>
      </c>
      <c r="C15" s="252" t="s">
        <v>509</v>
      </c>
      <c r="D15" s="253"/>
    </row>
    <row r="16" spans="1:4" ht="16.5" thickBot="1" x14ac:dyDescent="0.25">
      <c r="A16" s="134">
        <v>11</v>
      </c>
      <c r="B16" s="135" t="s">
        <v>9</v>
      </c>
      <c r="C16" s="236" t="s">
        <v>420</v>
      </c>
      <c r="D16" s="237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38" t="s">
        <v>511</v>
      </c>
      <c r="B18" s="239"/>
      <c r="C18" s="239"/>
      <c r="D18" s="239"/>
      <c r="E18" s="240"/>
    </row>
    <row r="19" spans="1:5" ht="30" customHeight="1" thickBot="1" x14ac:dyDescent="0.25">
      <c r="A19" s="140" t="s">
        <v>7</v>
      </c>
      <c r="B19" s="141" t="s">
        <v>10</v>
      </c>
      <c r="C19" s="143" t="s">
        <v>528</v>
      </c>
      <c r="D19" s="142" t="s">
        <v>529</v>
      </c>
      <c r="E19" s="143" t="s">
        <v>534</v>
      </c>
    </row>
    <row r="20" spans="1:5" ht="16.5" thickBot="1" x14ac:dyDescent="0.25">
      <c r="A20" s="134">
        <v>1</v>
      </c>
      <c r="B20" s="135" t="s">
        <v>526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527</v>
      </c>
      <c r="C22" s="163" t="s">
        <v>552</v>
      </c>
      <c r="D22" s="163" t="s">
        <v>552</v>
      </c>
      <c r="E22" s="163" t="s">
        <v>552</v>
      </c>
    </row>
    <row r="23" spans="1:5" ht="375" customHeight="1" thickBot="1" x14ac:dyDescent="0.25">
      <c r="A23" s="134">
        <v>4</v>
      </c>
      <c r="B23" s="135" t="s">
        <v>514</v>
      </c>
      <c r="C23" s="164" t="s">
        <v>530</v>
      </c>
      <c r="D23" s="161" t="s">
        <v>531</v>
      </c>
      <c r="E23" s="162" t="s">
        <v>535</v>
      </c>
    </row>
    <row r="24" spans="1:5" ht="16.5" thickBot="1" x14ac:dyDescent="0.25">
      <c r="A24" s="134">
        <v>5</v>
      </c>
      <c r="B24" s="135" t="s">
        <v>532</v>
      </c>
      <c r="C24" s="165" t="s">
        <v>553</v>
      </c>
      <c r="D24" s="161" t="s">
        <v>553</v>
      </c>
      <c r="E24" s="162" t="s">
        <v>553</v>
      </c>
    </row>
    <row r="25" spans="1:5" ht="284.25" thickBot="1" x14ac:dyDescent="0.25">
      <c r="A25" s="134">
        <v>6</v>
      </c>
      <c r="B25" s="135" t="s">
        <v>515</v>
      </c>
      <c r="C25" s="165" t="s">
        <v>554</v>
      </c>
      <c r="D25" s="161" t="s">
        <v>554</v>
      </c>
      <c r="E25" s="162" t="s">
        <v>554</v>
      </c>
    </row>
    <row r="26" spans="1:5" ht="16.5" thickBot="1" x14ac:dyDescent="0.25">
      <c r="A26" s="134">
        <v>7</v>
      </c>
      <c r="B26" s="135" t="s">
        <v>516</v>
      </c>
      <c r="C26" s="166" t="s">
        <v>561</v>
      </c>
      <c r="D26" s="166" t="s">
        <v>561</v>
      </c>
      <c r="E26" s="166" t="s">
        <v>533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0.29627179795550213</v>
      </c>
      <c r="D27" s="168">
        <f>tab.2_EE_gminy!G4/tab.2_EE_gminy!E2</f>
        <v>4</v>
      </c>
      <c r="E27" s="169">
        <f>tab.3_KPP!G7/tab.3_KPP!E2</f>
        <v>1</v>
      </c>
    </row>
    <row r="28" spans="1:5" ht="32.25" thickBot="1" x14ac:dyDescent="0.25">
      <c r="A28" s="136">
        <v>9</v>
      </c>
      <c r="B28" s="139" t="s">
        <v>518</v>
      </c>
      <c r="C28" s="165" t="s">
        <v>539</v>
      </c>
      <c r="D28" s="170" t="s">
        <v>539</v>
      </c>
      <c r="E28" s="170" t="s">
        <v>540</v>
      </c>
    </row>
    <row r="29" spans="1:5" ht="32.25" thickBot="1" x14ac:dyDescent="0.25">
      <c r="A29" s="136">
        <v>10</v>
      </c>
      <c r="B29" s="139" t="s">
        <v>519</v>
      </c>
      <c r="C29" s="171" t="s">
        <v>541</v>
      </c>
      <c r="D29" s="172" t="s">
        <v>541</v>
      </c>
      <c r="E29" s="171" t="s">
        <v>541</v>
      </c>
    </row>
    <row r="30" spans="1:5" ht="31.5" x14ac:dyDescent="0.2">
      <c r="A30" s="241">
        <v>11</v>
      </c>
      <c r="B30" s="244" t="s">
        <v>520</v>
      </c>
      <c r="C30" s="247" t="s">
        <v>536</v>
      </c>
      <c r="D30" s="173" t="s">
        <v>545</v>
      </c>
      <c r="E30" s="247" t="s">
        <v>538</v>
      </c>
    </row>
    <row r="31" spans="1:5" ht="15.75" x14ac:dyDescent="0.2">
      <c r="A31" s="242"/>
      <c r="B31" s="245"/>
      <c r="C31" s="234"/>
      <c r="D31" s="174">
        <f>tab.2_EE_gminy!F4</f>
        <v>0</v>
      </c>
      <c r="E31" s="234"/>
    </row>
    <row r="32" spans="1:5" ht="15.75" x14ac:dyDescent="0.2">
      <c r="A32" s="242"/>
      <c r="B32" s="245"/>
      <c r="C32" s="234"/>
      <c r="D32" s="175" t="s">
        <v>546</v>
      </c>
      <c r="E32" s="234"/>
    </row>
    <row r="33" spans="1:5" ht="15.75" x14ac:dyDescent="0.2">
      <c r="A33" s="242"/>
      <c r="B33" s="245"/>
      <c r="C33" s="234"/>
      <c r="D33" s="174">
        <f>tab.2_EE_gminy!G4</f>
        <v>4</v>
      </c>
      <c r="E33" s="234"/>
    </row>
    <row r="34" spans="1:5" ht="24.75" customHeight="1" x14ac:dyDescent="0.2">
      <c r="A34" s="242"/>
      <c r="B34" s="245"/>
      <c r="C34" s="248"/>
      <c r="D34" s="175" t="s">
        <v>547</v>
      </c>
      <c r="E34" s="248"/>
    </row>
    <row r="35" spans="1:5" ht="15.75" x14ac:dyDescent="0.2">
      <c r="A35" s="243"/>
      <c r="B35" s="246"/>
      <c r="C35" s="176">
        <f>tab.1_ZSO_gminy!J6</f>
        <v>24</v>
      </c>
      <c r="D35" s="174">
        <f>tab.2_EE_gminy!H4</f>
        <v>0</v>
      </c>
      <c r="E35" s="176">
        <f>tab.3_KPP!H7</f>
        <v>5</v>
      </c>
    </row>
    <row r="36" spans="1:5" ht="15.75" x14ac:dyDescent="0.2">
      <c r="A36" s="243"/>
      <c r="B36" s="246"/>
      <c r="C36" s="249" t="s">
        <v>550</v>
      </c>
      <c r="D36" s="175" t="s">
        <v>549</v>
      </c>
      <c r="E36" s="249" t="s">
        <v>537</v>
      </c>
    </row>
    <row r="37" spans="1:5" ht="15.75" x14ac:dyDescent="0.2">
      <c r="A37" s="243"/>
      <c r="B37" s="246"/>
      <c r="C37" s="250"/>
      <c r="D37" s="174">
        <f>tab.2_EE_gminy!I4</f>
        <v>0</v>
      </c>
      <c r="E37" s="250"/>
    </row>
    <row r="38" spans="1:5" ht="31.5" x14ac:dyDescent="0.2">
      <c r="A38" s="243"/>
      <c r="B38" s="246"/>
      <c r="C38" s="251"/>
      <c r="D38" s="175" t="s">
        <v>548</v>
      </c>
      <c r="E38" s="251"/>
    </row>
    <row r="39" spans="1:5" ht="16.5" thickBot="1" x14ac:dyDescent="0.25">
      <c r="A39" s="243"/>
      <c r="B39" s="246"/>
      <c r="C39" s="177">
        <f>tab.1_ZSO_gminy!I6</f>
        <v>4927</v>
      </c>
      <c r="D39" s="178">
        <f>tab.2_EE_gminy!J4</f>
        <v>1247</v>
      </c>
      <c r="E39" s="177">
        <f>tab.3_KPP!M7</f>
        <v>0</v>
      </c>
    </row>
    <row r="40" spans="1:5" ht="15.75" customHeight="1" x14ac:dyDescent="0.2">
      <c r="A40" s="224">
        <v>12</v>
      </c>
      <c r="B40" s="227" t="s">
        <v>563</v>
      </c>
      <c r="C40" s="171" t="s">
        <v>542</v>
      </c>
      <c r="D40" s="230" t="s">
        <v>432</v>
      </c>
      <c r="E40" s="233" t="s">
        <v>432</v>
      </c>
    </row>
    <row r="41" spans="1:5" ht="15.75" x14ac:dyDescent="0.2">
      <c r="A41" s="225"/>
      <c r="B41" s="228"/>
      <c r="C41" s="179">
        <f>tab.1_ZSO_gminy!K6/1000</f>
        <v>2.445416152</v>
      </c>
      <c r="D41" s="231"/>
      <c r="E41" s="234"/>
    </row>
    <row r="42" spans="1:5" ht="15.75" x14ac:dyDescent="0.2">
      <c r="A42" s="225"/>
      <c r="B42" s="228"/>
      <c r="C42" s="180" t="s">
        <v>543</v>
      </c>
      <c r="D42" s="231"/>
      <c r="E42" s="234"/>
    </row>
    <row r="43" spans="1:5" ht="15.75" x14ac:dyDescent="0.2">
      <c r="A43" s="225"/>
      <c r="B43" s="228"/>
      <c r="C43" s="179">
        <f>tab.1_ZSO_gminy!L6/1000</f>
        <v>2.4106693249999998</v>
      </c>
      <c r="D43" s="231"/>
      <c r="E43" s="234"/>
    </row>
    <row r="44" spans="1:5" ht="15.75" x14ac:dyDescent="0.2">
      <c r="A44" s="225"/>
      <c r="B44" s="228"/>
      <c r="C44" s="180" t="s">
        <v>544</v>
      </c>
      <c r="D44" s="231"/>
      <c r="E44" s="234"/>
    </row>
    <row r="45" spans="1:5" ht="16.5" thickBot="1" x14ac:dyDescent="0.25">
      <c r="A45" s="226"/>
      <c r="B45" s="229"/>
      <c r="C45" s="181">
        <f>tab.1_ZSO_gminy!M6/1000</f>
        <v>1.3940764099999998E-3</v>
      </c>
      <c r="D45" s="232"/>
      <c r="E45" s="235"/>
    </row>
    <row r="46" spans="1:5" ht="32.25" thickBot="1" x14ac:dyDescent="0.25">
      <c r="A46" s="148">
        <v>13</v>
      </c>
      <c r="B46" s="147" t="s">
        <v>521</v>
      </c>
      <c r="C46" s="182">
        <f>tab.1_ZSO_gminy!N6</f>
        <v>4618960</v>
      </c>
      <c r="D46" s="183">
        <f>tab.2_EE_gminy!K4</f>
        <v>7120.5</v>
      </c>
      <c r="E46" s="156">
        <v>0</v>
      </c>
    </row>
    <row r="47" spans="1:5" ht="126.75" thickBot="1" x14ac:dyDescent="0.25">
      <c r="A47" s="134">
        <v>14</v>
      </c>
      <c r="B47" s="135" t="s">
        <v>522</v>
      </c>
      <c r="C47" s="155" t="s">
        <v>523</v>
      </c>
      <c r="D47" s="156" t="s">
        <v>523</v>
      </c>
      <c r="E47" s="156" t="s">
        <v>523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6" t="s">
        <v>316</v>
      </c>
      <c r="I2" s="187"/>
      <c r="J2" s="187"/>
      <c r="K2" s="187"/>
      <c r="L2" s="187"/>
      <c r="M2" s="187"/>
      <c r="N2" s="187"/>
      <c r="O2" s="188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0" t="s">
        <v>45</v>
      </c>
      <c r="B2" s="190" t="s">
        <v>33</v>
      </c>
      <c r="C2" s="189" t="s">
        <v>44</v>
      </c>
      <c r="D2" s="189"/>
      <c r="E2" s="189"/>
    </row>
    <row r="3" spans="1:5" ht="14.25" x14ac:dyDescent="0.2">
      <c r="A3" s="191"/>
      <c r="B3" s="191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workbookViewId="0">
      <selection activeCell="A28" sqref="A28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2" t="s">
        <v>562</v>
      </c>
      <c r="B2" s="192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564</v>
      </c>
    </row>
    <row r="8" spans="1:2" ht="15" x14ac:dyDescent="0.2">
      <c r="A8" s="108" t="s">
        <v>433</v>
      </c>
      <c r="B8" s="102" t="s">
        <v>565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566</v>
      </c>
    </row>
    <row r="11" spans="1:2" ht="15" x14ac:dyDescent="0.2">
      <c r="A11" s="108" t="s">
        <v>436</v>
      </c>
      <c r="B11" s="102" t="s">
        <v>567</v>
      </c>
    </row>
    <row r="12" spans="1:2" ht="15" x14ac:dyDescent="0.2">
      <c r="A12" s="108" t="s">
        <v>439</v>
      </c>
      <c r="B12" s="102" t="s">
        <v>568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3" t="s">
        <v>474</v>
      </c>
      <c r="B25" s="193"/>
    </row>
    <row r="26" spans="1:2" ht="15.75" customHeight="1" x14ac:dyDescent="0.2">
      <c r="A26" s="194" t="s">
        <v>481</v>
      </c>
      <c r="B26" s="195"/>
    </row>
    <row r="27" spans="1:2" ht="15.75" x14ac:dyDescent="0.2">
      <c r="A27" s="119" t="s">
        <v>569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zoomScale="120" zoomScaleNormal="120" workbookViewId="0">
      <selection activeCell="I14" sqref="I14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4"/>
      <c r="B1" s="194"/>
      <c r="C1" s="194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6" t="s">
        <v>499</v>
      </c>
      <c r="B3" s="196"/>
      <c r="C3" s="196"/>
      <c r="D3" s="196"/>
      <c r="E3" s="196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565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566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567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568</v>
      </c>
    </row>
    <row r="8" spans="1:9" x14ac:dyDescent="0.2">
      <c r="A8" s="10">
        <v>4</v>
      </c>
      <c r="B8" s="11" t="s">
        <v>501</v>
      </c>
      <c r="C8" s="9" t="str">
        <f>IFERROR(VLOOKUP($D$9,gminy_26[],katalog_gmin_PL26!$E$1,FALSE),"")</f>
        <v>kielecki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229</v>
      </c>
      <c r="D9" s="45" t="str">
        <f>VLOOKUP($C$9,gminy_26[[nazwa gminy]:[kod gminy2]],2,FALSE)</f>
        <v>2604162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580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581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581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4" t="s">
        <v>582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6" t="s">
        <v>500</v>
      </c>
      <c r="B18" s="196"/>
      <c r="C18" s="196"/>
      <c r="D18" s="196"/>
      <c r="E18" s="196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kielecki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Raków</v>
      </c>
      <c r="D24" s="45" t="str">
        <f>VLOOKUP($C$9,gminy_26[[nazwa gminy]:[kod gminy2]],2,FALSE)</f>
        <v>2604162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>
      <formula1>nazwy_gmin</formula1>
    </dataValidation>
    <dataValidation type="list" allowBlank="1" showInputMessage="1" showErrorMessage="1" sqref="E23">
      <formula1>nazwy_powiaty</formula1>
    </dataValidation>
    <dataValidation type="list" allowBlank="1" showInputMessage="1" showErrorMessage="1" sqref="C5:E5">
      <formula1>"2020,2021,2022,2023,2024,2025,2026"</formula1>
    </dataValidation>
    <dataValidation type="list" allowBlank="1" showInputMessage="1" showErrorMessage="1" sqref="E8">
      <formula1>Powiaty</formula1>
    </dataValidation>
  </dataValidations>
  <hyperlinks>
    <hyperlink ref="H5" location="tab.2_EE_gminy!A1" tooltip="Tabela EE dla gmin" display="tab.2_EE_gminy"/>
    <hyperlink ref="H6" location="tab.3_KPP!A1" tooltip="Tabela kontrole" display="tab.3_KPP"/>
    <hyperlink ref="H7" location="tab.5_PDK!A1" tooltip="PDK" display="tab.5_PDK"/>
    <hyperlink ref="H4" location="tab.1_ZSO_gminy!A1" tooltip="Tabela ZSO dla gmin" display="tab.1_ZSO_gminy"/>
    <hyperlink ref="C15" r:id="rId1"/>
  </hyperlinks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1"/>
  <sheetViews>
    <sheetView tabSelected="1" zoomScale="90" zoomScaleNormal="90" workbookViewId="0">
      <pane xSplit="4" ySplit="10" topLeftCell="I11" activePane="bottomRight" state="frozen"/>
      <selection pane="topRight" activeCell="D1" sqref="D1"/>
      <selection pane="bottomLeft" activeCell="A8" sqref="A8"/>
      <selection pane="bottomRight" activeCell="P22" sqref="P22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5.570312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66280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16630</v>
      </c>
      <c r="G4" s="54"/>
      <c r="H4" s="54"/>
      <c r="I4" s="202" t="s">
        <v>332</v>
      </c>
      <c r="J4" s="203"/>
      <c r="K4" s="203"/>
      <c r="L4" s="203"/>
      <c r="M4" s="203"/>
      <c r="N4" s="203"/>
      <c r="O4" s="204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4927</v>
      </c>
      <c r="J6" s="96">
        <f t="shared" si="0"/>
        <v>24</v>
      </c>
      <c r="K6" s="90">
        <f t="shared" si="0"/>
        <v>2445.4161519999998</v>
      </c>
      <c r="L6" s="90">
        <f t="shared" si="0"/>
        <v>2410.6693249999998</v>
      </c>
      <c r="M6" s="62">
        <f t="shared" si="0"/>
        <v>1.3940764099999998</v>
      </c>
      <c r="N6" s="56">
        <f t="shared" si="0"/>
        <v>4618960</v>
      </c>
      <c r="O6" s="56">
        <f t="shared" si="0"/>
        <v>1542247.4799999997</v>
      </c>
      <c r="P6" s="13"/>
      <c r="R6" s="54"/>
    </row>
    <row r="7" spans="1:20" ht="18" customHeight="1" x14ac:dyDescent="0.2">
      <c r="A7" s="198" t="s">
        <v>7</v>
      </c>
      <c r="B7" s="198" t="s">
        <v>26</v>
      </c>
      <c r="C7" s="198" t="s">
        <v>0</v>
      </c>
      <c r="D7" s="198" t="s">
        <v>22</v>
      </c>
      <c r="E7" s="198" t="s">
        <v>23</v>
      </c>
      <c r="F7" s="198" t="s">
        <v>19</v>
      </c>
      <c r="G7" s="198" t="s">
        <v>18</v>
      </c>
      <c r="H7" s="205" t="s">
        <v>396</v>
      </c>
      <c r="I7" s="205"/>
      <c r="J7" s="205"/>
      <c r="K7" s="206" t="s">
        <v>486</v>
      </c>
      <c r="L7" s="207"/>
      <c r="M7" s="208"/>
      <c r="N7" s="198" t="s">
        <v>400</v>
      </c>
      <c r="O7" s="200" t="s">
        <v>493</v>
      </c>
      <c r="P7" s="198" t="s">
        <v>489</v>
      </c>
      <c r="R7" s="197" t="s">
        <v>313</v>
      </c>
      <c r="S7" s="197"/>
      <c r="T7" s="197"/>
    </row>
    <row r="8" spans="1:20" ht="51" customHeight="1" x14ac:dyDescent="0.2">
      <c r="A8" s="199"/>
      <c r="B8" s="199"/>
      <c r="C8" s="199"/>
      <c r="D8" s="199"/>
      <c r="E8" s="199"/>
      <c r="F8" s="199"/>
      <c r="G8" s="199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9"/>
      <c r="O8" s="201"/>
      <c r="P8" s="199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">
        <v>229</v>
      </c>
      <c r="C11" s="15" t="str">
        <f>tabela_informacyjna_dla_JST!$C$8</f>
        <v>kielecki</v>
      </c>
      <c r="D11" s="51" t="str">
        <f ca="1">IFERROR(_xlfn.CONCAT(tabela_informacyjna_dla_JST!$D$7,"_ZSO"),"brak nazwy gminy")</f>
        <v>brak nazwy gminy</v>
      </c>
      <c r="E11" s="22" t="str">
        <f ca="1">IFERROR(VLOOKUP($D11,kat_zadania[],katalogi!$N$1-katalogi!$L$1,FALSE),"brak nazwy gminy")</f>
        <v>brak nazwy gminy</v>
      </c>
      <c r="F11" s="31"/>
      <c r="G11" s="31"/>
      <c r="H11" s="31"/>
      <c r="I11" s="112"/>
      <c r="J11" s="112"/>
      <c r="K11" s="74" t="str">
        <f>IFERROR(VLOOKUP($R11,kat_wsk_efektu[],wskaźniki_efektu!C$1,FALSE)*$I11/1000,"")</f>
        <v/>
      </c>
      <c r="L11" s="74" t="str">
        <f>IFERROR(VLOOKUP($R11,kat_wsk_efektu[],wskaźniki_efektu!D$1,FALSE)*$I11/1000,"")</f>
        <v/>
      </c>
      <c r="M11" s="74" t="str">
        <f>IFERROR(VLOOKUP($R11,kat_wsk_efektu[],wskaźniki_efektu!E$1,FALSE)*$I11/1000,"")</f>
        <v/>
      </c>
      <c r="N11" s="113"/>
      <c r="O11" s="113"/>
      <c r="P11" s="114"/>
      <c r="R11" s="77" t="str">
        <f>IFERROR(VLOOKUP($H11,wskaźniki_efektu!$B$21:$C$34,wskaźniki_efektu!$C$1-wskaźniki_efektu!$A$1,FALSE),"")</f>
        <v/>
      </c>
      <c r="S11" s="91" t="str">
        <f>VLOOKUP($B11,gminy_26[[nazwa gminy]:[kod gminy2]],2,FALSE)</f>
        <v>2604162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Raków</v>
      </c>
      <c r="C12" s="15" t="str">
        <f>tabela_informacyjna_dla_JST!$C$8</f>
        <v>kielecki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574</v>
      </c>
      <c r="G12" s="31" t="s">
        <v>570</v>
      </c>
      <c r="H12" s="31" t="s">
        <v>392</v>
      </c>
      <c r="I12" s="112">
        <v>599</v>
      </c>
      <c r="J12" s="112">
        <v>1</v>
      </c>
      <c r="K12" s="74">
        <f>IFERROR(VLOOKUP($R12,kat_wsk_efektu[],wskaźniki_efektu!C$1,FALSE)*$I12/1000,"")</f>
        <v>293.10148200000003</v>
      </c>
      <c r="L12" s="74">
        <f>IFERROR(VLOOKUP($R12,kat_wsk_efektu[],wskaźniki_efektu!D$1,FALSE)*$I12/1000,"")</f>
        <v>289.04565300000002</v>
      </c>
      <c r="M12" s="74">
        <f>IFERROR(VLOOKUP($R12,kat_wsk_efektu[],wskaźniki_efektu!E$1,FALSE)*$I12/1000,"")</f>
        <v>0.16755826999999998</v>
      </c>
      <c r="N12" s="113">
        <v>2690150</v>
      </c>
      <c r="O12" s="113">
        <v>242135</v>
      </c>
      <c r="P12" s="114" t="s">
        <v>583</v>
      </c>
      <c r="R12" s="77" t="str">
        <f>IFERROR(VLOOKUP($H12,wskaźniki_efektu!$B$21:$C$34,wskaźniki_efektu!$C$1-wskaźniki_efektu!$A$1,FALSE),"")</f>
        <v>termo+WK_eco_b</v>
      </c>
      <c r="S12" s="91" t="str">
        <f>VLOOKUP($B12,gminy_26[[nazwa gminy]:[kod gminy2]],2,FALSE)</f>
        <v>2604162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Raków</v>
      </c>
      <c r="C13" s="15" t="str">
        <f>tabela_informacyjna_dla_JST!$C$8</f>
        <v>kielecki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574</v>
      </c>
      <c r="G13" s="31" t="s">
        <v>575</v>
      </c>
      <c r="H13" s="31" t="s">
        <v>390</v>
      </c>
      <c r="I13" s="112">
        <v>215</v>
      </c>
      <c r="J13" s="112">
        <v>1</v>
      </c>
      <c r="K13" s="74">
        <f>IFERROR(VLOOKUP($R13,kat_wsk_efektu[],wskaźniki_efektu!C$1,FALSE)*$I13/1000,"")</f>
        <v>108.02223499999999</v>
      </c>
      <c r="L13" s="74">
        <f>IFERROR(VLOOKUP($R13,kat_wsk_efektu[],wskaźniki_efektu!D$1,FALSE)*$I13/1000,"")</f>
        <v>106.417905</v>
      </c>
      <c r="M13" s="74">
        <f>IFERROR(VLOOKUP($R13,kat_wsk_efektu[],wskaźniki_efektu!E$1,FALSE)*$I13/1000,"")</f>
        <v>6.14986E-2</v>
      </c>
      <c r="N13" s="113">
        <v>849000</v>
      </c>
      <c r="O13" s="113">
        <v>500000</v>
      </c>
      <c r="P13" s="114" t="s">
        <v>576</v>
      </c>
      <c r="R13" s="77" t="str">
        <f>IFERROR(VLOOKUP($H13,wskaźniki_efektu!$B$21:$C$34,wskaźniki_efektu!$C$1-wskaźniki_efektu!$A$1,FALSE),"")</f>
        <v>w_pompa</v>
      </c>
      <c r="S13" s="91" t="str">
        <f>VLOOKUP($B13,gminy_26[[nazwa gminy]:[kod gminy2]],2,FALSE)</f>
        <v>2604162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Raków</v>
      </c>
      <c r="C14" s="15" t="str">
        <f>tabela_informacyjna_dla_JST!$C$8</f>
        <v>kielecki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574</v>
      </c>
      <c r="G14" s="31" t="s">
        <v>577</v>
      </c>
      <c r="H14" s="31" t="s">
        <v>392</v>
      </c>
      <c r="I14" s="112">
        <v>340</v>
      </c>
      <c r="J14" s="112">
        <v>2</v>
      </c>
      <c r="K14" s="74">
        <f>IFERROR(VLOOKUP($R14,kat_wsk_efektu[],wskaźniki_efektu!C$1,FALSE)*$I14/1000,"")</f>
        <v>166.36812</v>
      </c>
      <c r="L14" s="74">
        <f>IFERROR(VLOOKUP($R14,kat_wsk_efektu[],wskaźniki_efektu!D$1,FALSE)*$I14/1000,"")</f>
        <v>164.06598000000002</v>
      </c>
      <c r="M14" s="74">
        <f>IFERROR(VLOOKUP($R14,kat_wsk_efektu[],wskaźniki_efektu!E$1,FALSE)*$I14/1000,"")</f>
        <v>9.510819999999999E-2</v>
      </c>
      <c r="N14" s="113">
        <v>29040</v>
      </c>
      <c r="O14" s="113">
        <v>21287.7</v>
      </c>
      <c r="P14" s="114" t="s">
        <v>578</v>
      </c>
      <c r="R14" s="77" t="str">
        <f>IFERROR(VLOOKUP($H14,wskaźniki_efektu!$B$21:$C$34,wskaźniki_efektu!$C$1-wskaźniki_efektu!$A$1,FALSE),"")</f>
        <v>termo+WK_eco_b</v>
      </c>
      <c r="S14" s="91" t="str">
        <f>VLOOKUP($B14,gminy_26[[nazwa gminy]:[kod gminy2]],2,FALSE)</f>
        <v>2604162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Raków</v>
      </c>
      <c r="C15" s="15" t="str">
        <f>tabela_informacyjna_dla_JST!$C$8</f>
        <v>kielecki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574</v>
      </c>
      <c r="G15" s="31" t="s">
        <v>577</v>
      </c>
      <c r="H15" s="31" t="s">
        <v>392</v>
      </c>
      <c r="I15" s="112">
        <v>200</v>
      </c>
      <c r="J15" s="112">
        <v>1</v>
      </c>
      <c r="K15" s="74">
        <f>IFERROR(VLOOKUP($R15,kat_wsk_efektu[],wskaźniki_efektu!C$1,FALSE)*$I15/1000,"")</f>
        <v>97.863599999999991</v>
      </c>
      <c r="L15" s="74">
        <f>IFERROR(VLOOKUP($R15,kat_wsk_efektu[],wskaźniki_efektu!D$1,FALSE)*$I15/1000,"")</f>
        <v>96.509400000000014</v>
      </c>
      <c r="M15" s="74">
        <f>IFERROR(VLOOKUP($R15,kat_wsk_efektu[],wskaźniki_efektu!E$1,FALSE)*$I15/1000,"")</f>
        <v>5.5945999999999996E-2</v>
      </c>
      <c r="N15" s="113">
        <v>60000</v>
      </c>
      <c r="O15" s="113">
        <v>56418.84</v>
      </c>
      <c r="P15" s="114" t="s">
        <v>579</v>
      </c>
      <c r="R15" s="77" t="str">
        <f>IFERROR(VLOOKUP($H15,wskaźniki_efektu!$B$21:$C$34,wskaźniki_efektu!$C$1-wskaźniki_efektu!$A$1,FALSE),"")</f>
        <v>termo+WK_eco_b</v>
      </c>
      <c r="S15" s="91" t="str">
        <f>VLOOKUP($B15,gminy_26[[nazwa gminy]:[kod gminy2]],2,FALSE)</f>
        <v>2604162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Raków</v>
      </c>
      <c r="C16" s="15" t="str">
        <f>tabela_informacyjna_dla_JST!$C$8</f>
        <v>kielecki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574</v>
      </c>
      <c r="G16" s="31" t="s">
        <v>577</v>
      </c>
      <c r="H16" s="31" t="s">
        <v>391</v>
      </c>
      <c r="I16" s="112">
        <v>260</v>
      </c>
      <c r="J16" s="112">
        <v>1</v>
      </c>
      <c r="K16" s="74">
        <f>IFERROR(VLOOKUP($R16,kat_wsk_efektu[],wskaźniki_efektu!C$1,FALSE)*$I16/1000,"")</f>
        <v>127.66572000000001</v>
      </c>
      <c r="L16" s="74">
        <f>IFERROR(VLOOKUP($R16,kat_wsk_efektu[],wskaźniki_efektu!D$1,FALSE)*$I16/1000,"")</f>
        <v>126.31891999999999</v>
      </c>
      <c r="M16" s="74">
        <f>IFERROR(VLOOKUP($R16,kat_wsk_efektu[],wskaźniki_efektu!E$1,FALSE)*$I16/1000,"")</f>
        <v>7.2144800000000009E-2</v>
      </c>
      <c r="N16" s="113">
        <v>107420</v>
      </c>
      <c r="O16" s="113">
        <v>32000</v>
      </c>
      <c r="P16" s="114" t="s">
        <v>578</v>
      </c>
      <c r="R16" s="77" t="str">
        <f>IFERROR(VLOOKUP($H16,wskaźniki_efektu!$B$21:$C$34,wskaźniki_efektu!$C$1-wskaźniki_efektu!$A$1,FALSE),"")</f>
        <v>termo+WK_eco</v>
      </c>
      <c r="S16" s="91" t="str">
        <f>VLOOKUP($B16,gminy_26[[nazwa gminy]:[kod gminy2]],2,FALSE)</f>
        <v>2604162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Raków</v>
      </c>
      <c r="C17" s="15" t="str">
        <f>tabela_informacyjna_dla_JST!$C$8</f>
        <v>kielecki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 t="s">
        <v>574</v>
      </c>
      <c r="G17" s="31" t="s">
        <v>577</v>
      </c>
      <c r="H17" s="31" t="s">
        <v>392</v>
      </c>
      <c r="I17" s="112">
        <v>170</v>
      </c>
      <c r="J17" s="112">
        <v>1</v>
      </c>
      <c r="K17" s="74">
        <f>IFERROR(VLOOKUP($R17,kat_wsk_efektu[],wskaźniki_efektu!C$1,FALSE)*$I17/1000,"")</f>
        <v>83.184060000000002</v>
      </c>
      <c r="L17" s="74">
        <f>IFERROR(VLOOKUP($R17,kat_wsk_efektu[],wskaźniki_efektu!D$1,FALSE)*$I17/1000,"")</f>
        <v>82.032990000000012</v>
      </c>
      <c r="M17" s="74">
        <f>IFERROR(VLOOKUP($R17,kat_wsk_efektu[],wskaźniki_efektu!E$1,FALSE)*$I17/1000,"")</f>
        <v>4.7554099999999995E-2</v>
      </c>
      <c r="N17" s="113">
        <v>64400</v>
      </c>
      <c r="O17" s="113">
        <v>14400</v>
      </c>
      <c r="P17" s="114" t="s">
        <v>578</v>
      </c>
      <c r="R17" s="77" t="str">
        <f>IFERROR(VLOOKUP($H17,wskaźniki_efektu!$B$21:$C$34,wskaźniki_efektu!$C$1-wskaźniki_efektu!$A$1,FALSE),"")</f>
        <v>termo+WK_eco_b</v>
      </c>
      <c r="S17" s="91" t="str">
        <f>VLOOKUP($B17,gminy_26[[nazwa gminy]:[kod gminy2]],2,FALSE)</f>
        <v>2604162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Raków</v>
      </c>
      <c r="C18" s="15" t="str">
        <f>tabela_informacyjna_dla_JST!$C$8</f>
        <v>kielecki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 t="s">
        <v>574</v>
      </c>
      <c r="G18" s="31" t="s">
        <v>577</v>
      </c>
      <c r="H18" s="31" t="s">
        <v>385</v>
      </c>
      <c r="I18" s="112">
        <v>320</v>
      </c>
      <c r="J18" s="112">
        <v>1</v>
      </c>
      <c r="K18" s="74">
        <f>IFERROR(VLOOKUP($R18,kat_wsk_efektu[],wskaźniki_efektu!C$1,FALSE)*$I18/1000,"")</f>
        <v>154.78399999999999</v>
      </c>
      <c r="L18" s="74">
        <f>IFERROR(VLOOKUP($R18,kat_wsk_efektu[],wskaźniki_efektu!D$1,FALSE)*$I18/1000,"")</f>
        <v>152.71168</v>
      </c>
      <c r="M18" s="74">
        <f>IFERROR(VLOOKUP($R18,kat_wsk_efektu[],wskaźniki_efektu!E$1,FALSE)*$I18/1000,"")</f>
        <v>8.8649599999999995E-2</v>
      </c>
      <c r="N18" s="113">
        <v>32000</v>
      </c>
      <c r="O18" s="113">
        <v>32000</v>
      </c>
      <c r="P18" s="114" t="s">
        <v>578</v>
      </c>
      <c r="R18" s="77" t="str">
        <f>IFERROR(VLOOKUP($H18,wskaźniki_efektu!$B$21:$C$34,wskaźniki_efektu!$C$1-wskaźniki_efektu!$A$1,FALSE),"")</f>
        <v>w_WK_eco_b</v>
      </c>
      <c r="S18" s="91" t="str">
        <f>VLOOKUP($B18,gminy_26[[nazwa gminy]:[kod gminy2]],2,FALSE)</f>
        <v>2604162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Raków</v>
      </c>
      <c r="C19" s="15" t="str">
        <f>tabela_informacyjna_dla_JST!$C$8</f>
        <v>kielecki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 t="s">
        <v>574</v>
      </c>
      <c r="G19" s="31" t="s">
        <v>577</v>
      </c>
      <c r="H19" s="31" t="s">
        <v>390</v>
      </c>
      <c r="I19" s="112">
        <v>660</v>
      </c>
      <c r="J19" s="112">
        <v>3</v>
      </c>
      <c r="K19" s="74">
        <f>IFERROR(VLOOKUP($R19,kat_wsk_efektu[],wskaźniki_efektu!C$1,FALSE)*$I19/1000,"")</f>
        <v>331.60313999999994</v>
      </c>
      <c r="L19" s="74">
        <f>IFERROR(VLOOKUP($R19,kat_wsk_efektu[],wskaźniki_efektu!D$1,FALSE)*$I19/1000,"")</f>
        <v>326.67821999999995</v>
      </c>
      <c r="M19" s="74">
        <f>IFERROR(VLOOKUP($R19,kat_wsk_efektu[],wskaźniki_efektu!E$1,FALSE)*$I19/1000,"")</f>
        <v>0.18878640000000002</v>
      </c>
      <c r="N19" s="113">
        <v>167000</v>
      </c>
      <c r="O19" s="113">
        <v>167000</v>
      </c>
      <c r="P19" s="114" t="s">
        <v>578</v>
      </c>
      <c r="R19" s="77" t="str">
        <f>IFERROR(VLOOKUP($H19,wskaźniki_efektu!$B$21:$C$34,wskaźniki_efektu!$C$1-wskaźniki_efektu!$A$1,FALSE),"")</f>
        <v>w_pompa</v>
      </c>
      <c r="S19" s="91" t="str">
        <f>VLOOKUP($B19,gminy_26[[nazwa gminy]:[kod gminy2]],2,FALSE)</f>
        <v>2604162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Raków</v>
      </c>
      <c r="C20" s="15" t="str">
        <f>tabela_informacyjna_dla_JST!$C$8</f>
        <v>kielecki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 t="s">
        <v>574</v>
      </c>
      <c r="G20" s="31" t="s">
        <v>577</v>
      </c>
      <c r="H20" s="31" t="s">
        <v>385</v>
      </c>
      <c r="I20" s="112">
        <v>208</v>
      </c>
      <c r="J20" s="112">
        <v>2</v>
      </c>
      <c r="K20" s="74">
        <f>IFERROR(VLOOKUP($R20,kat_wsk_efektu[],wskaźniki_efektu!C$1,FALSE)*$I20/1000,"")</f>
        <v>100.60959999999999</v>
      </c>
      <c r="L20" s="74">
        <f>IFERROR(VLOOKUP($R20,kat_wsk_efektu[],wskaźniki_efektu!D$1,FALSE)*$I20/1000,"")</f>
        <v>99.262591999999998</v>
      </c>
      <c r="M20" s="74">
        <f>IFERROR(VLOOKUP($R20,kat_wsk_efektu[],wskaźniki_efektu!E$1,FALSE)*$I20/1000,"")</f>
        <v>5.7622239999999998E-2</v>
      </c>
      <c r="N20" s="113">
        <v>84000</v>
      </c>
      <c r="O20" s="113">
        <v>66230.89</v>
      </c>
      <c r="P20" s="114" t="s">
        <v>578</v>
      </c>
      <c r="R20" s="77" t="str">
        <f>IFERROR(VLOOKUP($H20,wskaźniki_efektu!$B$21:$C$34,wskaźniki_efektu!$C$1-wskaźniki_efektu!$A$1,FALSE),"")</f>
        <v>w_WK_eco_b</v>
      </c>
      <c r="S20" s="91" t="str">
        <f>VLOOKUP($B20,gminy_26[[nazwa gminy]:[kod gminy2]],2,FALSE)</f>
        <v>2604162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Raków</v>
      </c>
      <c r="C21" s="15" t="str">
        <f>tabela_informacyjna_dla_JST!$C$8</f>
        <v>kielecki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 t="s">
        <v>574</v>
      </c>
      <c r="G21" s="31" t="s">
        <v>577</v>
      </c>
      <c r="H21" s="31" t="s">
        <v>382</v>
      </c>
      <c r="I21" s="112">
        <v>100</v>
      </c>
      <c r="J21" s="112">
        <v>1</v>
      </c>
      <c r="K21" s="74">
        <f>IFERROR(VLOOKUP($R21,kat_wsk_efektu[],wskaźniki_efektu!C$1,FALSE)*$I21/1000,"")</f>
        <v>50.208400000000005</v>
      </c>
      <c r="L21" s="74">
        <f>IFERROR(VLOOKUP($R21,kat_wsk_efektu[],wskaźniki_efektu!D$1,FALSE)*$I21/1000,"")</f>
        <v>49.462200000000003</v>
      </c>
      <c r="M21" s="74">
        <f>IFERROR(VLOOKUP($R21,kat_wsk_efektu[],wskaźniki_efektu!E$1,FALSE)*$I21/1000,"")</f>
        <v>2.8604000000000004E-2</v>
      </c>
      <c r="N21" s="113">
        <v>25000</v>
      </c>
      <c r="O21" s="113">
        <v>9929.6299999999992</v>
      </c>
      <c r="P21" s="114" t="s">
        <v>578</v>
      </c>
      <c r="R21" s="77" t="str">
        <f>IFERROR(VLOOKUP($H21,wskaźniki_efektu!$B$21:$C$34,wskaźniki_efektu!$C$1-wskaźniki_efektu!$A$1,FALSE),"")</f>
        <v>w_gaz</v>
      </c>
      <c r="S21" s="91" t="str">
        <f>VLOOKUP($B21,gminy_26[[nazwa gminy]:[kod gminy2]],2,FALSE)</f>
        <v>2604162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Raków</v>
      </c>
      <c r="C22" s="15" t="str">
        <f>tabela_informacyjna_dla_JST!$C$8</f>
        <v>kielecki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 t="s">
        <v>574</v>
      </c>
      <c r="G22" s="31" t="s">
        <v>577</v>
      </c>
      <c r="H22" s="31" t="s">
        <v>383</v>
      </c>
      <c r="I22" s="112">
        <v>1855</v>
      </c>
      <c r="J22" s="112">
        <v>10</v>
      </c>
      <c r="K22" s="74">
        <f>IFERROR(VLOOKUP($R22,kat_wsk_efektu[],wskaźniki_efektu!C$1,FALSE)*$I22/1000,"")</f>
        <v>932.00579499999992</v>
      </c>
      <c r="L22" s="74">
        <f>IFERROR(VLOOKUP($R22,kat_wsk_efektu[],wskaźniki_efektu!D$1,FALSE)*$I22/1000,"")</f>
        <v>918.16378499999996</v>
      </c>
      <c r="M22" s="74">
        <f>IFERROR(VLOOKUP($R22,kat_wsk_efektu[],wskaźniki_efektu!E$1,FALSE)*$I22/1000,"")</f>
        <v>0.53060419999999997</v>
      </c>
      <c r="N22" s="113">
        <v>510950</v>
      </c>
      <c r="O22" s="113">
        <v>400845.42</v>
      </c>
      <c r="P22" s="114" t="s">
        <v>578</v>
      </c>
      <c r="R22" s="77" t="str">
        <f>IFERROR(VLOOKUP($H22,wskaźniki_efektu!$B$21:$C$34,wskaźniki_efektu!$C$1-wskaźniki_efektu!$A$1,FALSE),"")</f>
        <v>w_pompa</v>
      </c>
      <c r="S22" s="91" t="str">
        <f>VLOOKUP($B22,gminy_26[[nazwa gminy]:[kod gminy2]],2,FALSE)</f>
        <v>2604162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Raków</v>
      </c>
      <c r="C23" s="15" t="str">
        <f>tabela_informacyjna_dla_JST!$C$8</f>
        <v>kielecki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2604162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Raków</v>
      </c>
      <c r="C24" s="15" t="str">
        <f>tabela_informacyjna_dla_JST!$C$8</f>
        <v>kielecki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2604162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Raków</v>
      </c>
      <c r="C25" s="15" t="str">
        <f>tabela_informacyjna_dla_JST!$C$8</f>
        <v>kielecki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2604162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Raków</v>
      </c>
      <c r="C26" s="15" t="str">
        <f>tabela_informacyjna_dla_JST!$C$8</f>
        <v>kielecki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2604162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Raków</v>
      </c>
      <c r="C27" s="15" t="str">
        <f>tabela_informacyjna_dla_JST!$C$8</f>
        <v>kielecki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2604162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Raków</v>
      </c>
      <c r="C28" s="15" t="str">
        <f>tabela_informacyjna_dla_JST!$C$8</f>
        <v>kielecki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2604162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Raków</v>
      </c>
      <c r="C29" s="15" t="str">
        <f>tabela_informacyjna_dla_JST!$C$8</f>
        <v>kielecki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2604162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Raków</v>
      </c>
      <c r="C30" s="15" t="str">
        <f>tabela_informacyjna_dla_JST!$C$8</f>
        <v>kielecki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2604162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Raków</v>
      </c>
      <c r="C31" s="15" t="str">
        <f>tabela_informacyjna_dla_JST!$C$8</f>
        <v>kielecki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2604162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A7:A8"/>
    <mergeCell ref="B7:B8"/>
    <mergeCell ref="D7:D8"/>
    <mergeCell ref="E7:E8"/>
    <mergeCell ref="F7:F8"/>
    <mergeCell ref="R7:T7"/>
    <mergeCell ref="N7:N8"/>
    <mergeCell ref="O7:O8"/>
    <mergeCell ref="C7:C8"/>
    <mergeCell ref="I4:O4"/>
    <mergeCell ref="P7:P8"/>
    <mergeCell ref="G7:G8"/>
    <mergeCell ref="H7:J7"/>
    <mergeCell ref="K7:M7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>
      <formula1>0</formula1>
    </dataValidation>
    <dataValidation type="decimal" operator="greaterThanOrEqual" allowBlank="1" showInputMessage="1" showErrorMessage="1" error="Proszę podać wartość liczbową!" sqref="N11:O31">
      <formula1>0</formula1>
    </dataValidation>
    <dataValidation type="list" operator="greaterThanOrEqual" allowBlank="1" showInputMessage="1" showErrorMessage="1" error="Proszę podać wartość liczbową!" sqref="H11:H31">
      <formula1>monit_ZSO</formula1>
    </dataValidation>
    <dataValidation operator="greaterThanOrEqual" allowBlank="1" showDropDown="1" showInputMessage="1" showErrorMessage="1" error="Proszę podać wartość liczbową!" sqref="R11:R31"/>
    <dataValidation operator="greaterThanOrEqual" allowBlank="1" showInputMessage="1" showErrorMessage="1" error="Proszę podać wartość liczbową!" sqref="G11:G31 K11:M31"/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</sheetPr>
  <dimension ref="A1:AE18"/>
  <sheetViews>
    <sheetView zoomScale="90" zoomScaleNormal="90" workbookViewId="0">
      <pane xSplit="3" ySplit="8" topLeftCell="E9" activePane="bottomRight" state="frozen"/>
      <selection pane="topRight" activeCell="D1" sqref="D1"/>
      <selection pane="bottomLeft" activeCell="A8" sqref="A8"/>
      <selection pane="bottomRight" activeCell="I15" sqref="I15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0" t="s">
        <v>332</v>
      </c>
      <c r="G3" s="210"/>
      <c r="H3" s="210"/>
      <c r="I3" s="210"/>
      <c r="J3" s="210"/>
      <c r="K3" s="210"/>
      <c r="L3" s="210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4</v>
      </c>
      <c r="H4" s="55">
        <f t="shared" si="0"/>
        <v>0</v>
      </c>
      <c r="I4" s="55">
        <f t="shared" si="0"/>
        <v>0</v>
      </c>
      <c r="J4" s="55">
        <f t="shared" si="0"/>
        <v>1247</v>
      </c>
      <c r="K4" s="56">
        <f>SUM(K9:K18)</f>
        <v>7120.5</v>
      </c>
      <c r="L4" s="56">
        <f>SUM(L9:L18)</f>
        <v>7120.5</v>
      </c>
      <c r="M4" s="13"/>
    </row>
    <row r="5" spans="1:31" x14ac:dyDescent="0.2">
      <c r="A5" s="198" t="s">
        <v>7</v>
      </c>
      <c r="B5" s="198" t="s">
        <v>26</v>
      </c>
      <c r="C5" s="198" t="s">
        <v>22</v>
      </c>
      <c r="D5" s="198" t="s">
        <v>23</v>
      </c>
      <c r="E5" s="198" t="s">
        <v>495</v>
      </c>
      <c r="F5" s="205" t="s">
        <v>333</v>
      </c>
      <c r="G5" s="205"/>
      <c r="H5" s="205"/>
      <c r="I5" s="205"/>
      <c r="J5" s="205"/>
      <c r="K5" s="198" t="s">
        <v>49</v>
      </c>
      <c r="L5" s="200" t="s">
        <v>488</v>
      </c>
      <c r="M5" s="198" t="s">
        <v>489</v>
      </c>
    </row>
    <row r="6" spans="1:31" ht="61.5" customHeight="1" x14ac:dyDescent="0.2">
      <c r="A6" s="199"/>
      <c r="B6" s="199"/>
      <c r="C6" s="199"/>
      <c r="D6" s="199"/>
      <c r="E6" s="199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9"/>
      <c r="L6" s="211"/>
      <c r="M6" s="209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23.1" customHeight="1" x14ac:dyDescent="0.2">
      <c r="A9" s="3">
        <v>1</v>
      </c>
      <c r="B9" s="15" t="str">
        <f>tabela_informacyjna_dla_JST!$C$9</f>
        <v>Raków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572</v>
      </c>
      <c r="F9" s="115"/>
      <c r="G9" s="115">
        <v>1</v>
      </c>
      <c r="H9" s="115"/>
      <c r="I9" s="115"/>
      <c r="J9" s="115">
        <v>200</v>
      </c>
      <c r="K9" s="113">
        <v>3000</v>
      </c>
      <c r="L9" s="113">
        <v>3000</v>
      </c>
      <c r="M9" s="114" t="s">
        <v>578</v>
      </c>
      <c r="AE9" s="1" t="b">
        <f>OR(NOT(ISBLANK(E9)),NOT(ISBLANK(J9)))</f>
        <v>1</v>
      </c>
    </row>
    <row r="10" spans="1:31" ht="23.1" customHeight="1" x14ac:dyDescent="0.2">
      <c r="A10" s="3">
        <v>2</v>
      </c>
      <c r="B10" s="15" t="str">
        <f>tabela_informacyjna_dla_JST!$C$9</f>
        <v>Raków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586</v>
      </c>
      <c r="F10" s="115"/>
      <c r="G10" s="115">
        <v>1</v>
      </c>
      <c r="H10" s="115"/>
      <c r="I10" s="115"/>
      <c r="J10" s="115">
        <v>500</v>
      </c>
      <c r="K10" s="113">
        <v>4120.5</v>
      </c>
      <c r="L10" s="113">
        <v>4120.5</v>
      </c>
      <c r="M10" s="114" t="s">
        <v>578</v>
      </c>
      <c r="AE10" s="1" t="b">
        <f t="shared" ref="AE10:AE18" si="7">OR(NOT(ISBLANK(E10)),NOT(ISBLANK(J10)))</f>
        <v>1</v>
      </c>
    </row>
    <row r="11" spans="1:31" ht="23.1" customHeight="1" x14ac:dyDescent="0.2">
      <c r="A11" s="3">
        <v>3</v>
      </c>
      <c r="B11" s="15" t="str">
        <f>tabela_informacyjna_dla_JST!$C$9</f>
        <v>Raków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 t="s">
        <v>573</v>
      </c>
      <c r="F11" s="115"/>
      <c r="G11" s="115">
        <v>1</v>
      </c>
      <c r="H11" s="115"/>
      <c r="I11" s="115"/>
      <c r="J11" s="115">
        <v>47</v>
      </c>
      <c r="K11" s="113">
        <v>0</v>
      </c>
      <c r="L11" s="113">
        <v>0</v>
      </c>
      <c r="M11" s="114" t="s">
        <v>585</v>
      </c>
      <c r="AE11" s="1" t="b">
        <f t="shared" si="7"/>
        <v>1</v>
      </c>
    </row>
    <row r="12" spans="1:31" ht="23.1" customHeight="1" x14ac:dyDescent="0.2">
      <c r="A12" s="3">
        <v>4</v>
      </c>
      <c r="B12" s="15" t="str">
        <f>tabela_informacyjna_dla_JST!$C$9</f>
        <v>Raków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 t="s">
        <v>584</v>
      </c>
      <c r="F12" s="115"/>
      <c r="G12" s="115">
        <v>1</v>
      </c>
      <c r="H12" s="115"/>
      <c r="I12" s="115"/>
      <c r="J12" s="115">
        <v>500</v>
      </c>
      <c r="K12" s="113">
        <v>0</v>
      </c>
      <c r="L12" s="113">
        <v>0</v>
      </c>
      <c r="M12" s="114" t="s">
        <v>585</v>
      </c>
      <c r="AE12" s="1" t="b">
        <f t="shared" si="7"/>
        <v>1</v>
      </c>
    </row>
    <row r="13" spans="1:31" ht="23.1" customHeight="1" x14ac:dyDescent="0.2">
      <c r="A13" s="3">
        <v>5</v>
      </c>
      <c r="B13" s="15" t="str">
        <f>tabela_informacyjna_dla_JST!$C$9</f>
        <v>Raków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>
      <formula1>0</formula1>
    </dataValidation>
    <dataValidation type="whole" operator="greaterThanOrEqual" allowBlank="1" showInputMessage="1" showErrorMessage="1" error="Proszę podać wartość liczbową!" sqref="F9:J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2"/>
  <sheetViews>
    <sheetView zoomScale="90" zoomScaleNormal="90" workbookViewId="0">
      <pane xSplit="3" ySplit="12" topLeftCell="E13" activePane="bottomRight" state="frozen"/>
      <selection pane="topRight" activeCell="D1" sqref="D1"/>
      <selection pane="bottomLeft" activeCell="A8" sqref="A8"/>
      <selection pane="bottomRight" activeCell="M18" sqref="M18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2" t="s">
        <v>332</v>
      </c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35" ht="19.899999999999999" customHeight="1" x14ac:dyDescent="0.2">
      <c r="A7" s="12"/>
      <c r="D7" s="13"/>
      <c r="E7" s="13"/>
      <c r="F7" s="13"/>
      <c r="G7" s="57">
        <f>SUM(G13:G22)</f>
        <v>5</v>
      </c>
      <c r="H7" s="55">
        <f>SUM(H13:H22)</f>
        <v>5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5" t="s">
        <v>7</v>
      </c>
      <c r="B8" s="205" t="s">
        <v>26</v>
      </c>
      <c r="C8" s="205" t="s">
        <v>22</v>
      </c>
      <c r="D8" s="205" t="s">
        <v>23</v>
      </c>
      <c r="E8" s="198" t="s">
        <v>360</v>
      </c>
      <c r="F8" s="198" t="s">
        <v>492</v>
      </c>
      <c r="G8" s="198" t="s">
        <v>336</v>
      </c>
      <c r="H8" s="205" t="s">
        <v>454</v>
      </c>
      <c r="I8" s="205"/>
      <c r="J8" s="205"/>
      <c r="K8" s="205"/>
      <c r="L8" s="205"/>
      <c r="M8" s="205"/>
      <c r="N8" s="205"/>
      <c r="O8" s="205"/>
      <c r="P8" s="205"/>
      <c r="Q8" s="205"/>
    </row>
    <row r="9" spans="1:35" ht="45.6" customHeight="1" x14ac:dyDescent="0.2">
      <c r="A9" s="205"/>
      <c r="B9" s="205"/>
      <c r="C9" s="205"/>
      <c r="D9" s="205"/>
      <c r="E9" s="212"/>
      <c r="F9" s="199"/>
      <c r="G9" s="212"/>
      <c r="H9" s="213" t="s">
        <v>337</v>
      </c>
      <c r="I9" s="214"/>
      <c r="J9" s="214"/>
      <c r="K9" s="214"/>
      <c r="L9" s="215"/>
      <c r="M9" s="216" t="s">
        <v>338</v>
      </c>
      <c r="N9" s="217"/>
      <c r="O9" s="217"/>
      <c r="P9" s="217"/>
      <c r="Q9" s="218"/>
    </row>
    <row r="10" spans="1:35" ht="36" x14ac:dyDescent="0.2">
      <c r="A10" s="205"/>
      <c r="B10" s="205"/>
      <c r="C10" s="205"/>
      <c r="D10" s="205"/>
      <c r="E10" s="199"/>
      <c r="F10" s="34" t="s">
        <v>361</v>
      </c>
      <c r="G10" s="209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571</v>
      </c>
      <c r="F13" s="116"/>
      <c r="G13" s="23">
        <f>SUM(H13+M13)</f>
        <v>5</v>
      </c>
      <c r="H13" s="115">
        <v>5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H8:Q8"/>
    <mergeCell ref="H9:L9"/>
    <mergeCell ref="M9:Q9"/>
    <mergeCell ref="G6:Q6"/>
    <mergeCell ref="G8:G10"/>
    <mergeCell ref="F8:F9"/>
    <mergeCell ref="E8:E10"/>
    <mergeCell ref="A8:A10"/>
    <mergeCell ref="B8:B10"/>
    <mergeCell ref="C8:C10"/>
    <mergeCell ref="D8:D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>
      <formula1>0</formula1>
    </dataValidation>
    <dataValidation type="date" allowBlank="1" showInputMessage="1" showErrorMessage="1" sqref="F13:F22">
      <formula1>44075</formula1>
      <formula2>46387</formula2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27"/>
  <sheetViews>
    <sheetView topLeftCell="A13" workbookViewId="0">
      <selection activeCell="A23" sqref="A23:B23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0" t="s">
        <v>406</v>
      </c>
      <c r="B3" s="220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9" t="s">
        <v>411</v>
      </c>
      <c r="B7" s="219"/>
      <c r="C7" s="88"/>
    </row>
    <row r="8" spans="1:3" x14ac:dyDescent="0.2">
      <c r="A8" s="221"/>
      <c r="B8" s="221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9" t="s">
        <v>468</v>
      </c>
      <c r="B10" s="219"/>
      <c r="C10" s="89"/>
    </row>
    <row r="11" spans="1:3" ht="28.5" customHeight="1" x14ac:dyDescent="0.2">
      <c r="A11" s="221"/>
      <c r="B11" s="221"/>
      <c r="C11" s="88" t="s">
        <v>422</v>
      </c>
    </row>
    <row r="12" spans="1:3" x14ac:dyDescent="0.2">
      <c r="A12" s="219" t="s">
        <v>412</v>
      </c>
      <c r="B12" s="219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185"/>
      <c r="C14" s="89" t="s">
        <v>408</v>
      </c>
    </row>
    <row r="15" spans="1:3" x14ac:dyDescent="0.2">
      <c r="A15" s="219" t="s">
        <v>470</v>
      </c>
      <c r="B15" s="219"/>
      <c r="C15" s="89"/>
    </row>
    <row r="16" spans="1:3" ht="60" customHeight="1" x14ac:dyDescent="0.2">
      <c r="A16" s="221"/>
      <c r="B16" s="221"/>
      <c r="C16" s="89" t="s">
        <v>414</v>
      </c>
    </row>
    <row r="17" spans="1:3" x14ac:dyDescent="0.2">
      <c r="A17" s="222" t="s">
        <v>415</v>
      </c>
      <c r="B17" s="222"/>
      <c r="C17" s="89"/>
    </row>
    <row r="18" spans="1:3" x14ac:dyDescent="0.2">
      <c r="A18" s="219" t="s">
        <v>416</v>
      </c>
      <c r="B18" s="219"/>
      <c r="C18" s="89"/>
    </row>
    <row r="19" spans="1:3" ht="60" customHeight="1" x14ac:dyDescent="0.2">
      <c r="A19" s="221"/>
      <c r="B19" s="221"/>
      <c r="C19" s="89" t="s">
        <v>414</v>
      </c>
    </row>
    <row r="20" spans="1:3" x14ac:dyDescent="0.2">
      <c r="A20" s="219" t="s">
        <v>417</v>
      </c>
      <c r="B20" s="219"/>
      <c r="C20" s="89"/>
    </row>
    <row r="21" spans="1:3" ht="60" customHeight="1" x14ac:dyDescent="0.2">
      <c r="A21" s="221"/>
      <c r="B21" s="221"/>
      <c r="C21" s="89" t="s">
        <v>414</v>
      </c>
    </row>
    <row r="22" spans="1:3" ht="26.25" customHeight="1" x14ac:dyDescent="0.2">
      <c r="A22" s="219" t="s">
        <v>471</v>
      </c>
      <c r="B22" s="219"/>
      <c r="C22" s="89"/>
    </row>
    <row r="23" spans="1:3" ht="60" customHeight="1" x14ac:dyDescent="0.2">
      <c r="A23" s="223"/>
      <c r="B23" s="221"/>
      <c r="C23" s="89" t="s">
        <v>414</v>
      </c>
    </row>
    <row r="24" spans="1:3" x14ac:dyDescent="0.2">
      <c r="A24" s="219" t="s">
        <v>418</v>
      </c>
      <c r="B24" s="219"/>
      <c r="C24" s="89"/>
    </row>
    <row r="25" spans="1:3" ht="60" customHeight="1" x14ac:dyDescent="0.2">
      <c r="A25" s="221"/>
      <c r="B25" s="221"/>
      <c r="C25" s="89" t="s">
        <v>414</v>
      </c>
    </row>
    <row r="26" spans="1:3" x14ac:dyDescent="0.2">
      <c r="A26" s="219" t="s">
        <v>419</v>
      </c>
      <c r="B26" s="219"/>
      <c r="C26" s="89"/>
    </row>
    <row r="27" spans="1:3" ht="60" customHeight="1" x14ac:dyDescent="0.2">
      <c r="A27" s="221"/>
      <c r="B27" s="221"/>
      <c r="C27" s="89" t="s">
        <v>420</v>
      </c>
    </row>
  </sheetData>
  <mergeCells count="19">
    <mergeCell ref="A27:B27"/>
    <mergeCell ref="A21:B21"/>
    <mergeCell ref="A22:B22"/>
    <mergeCell ref="A23:B23"/>
    <mergeCell ref="A24:B24"/>
    <mergeCell ref="A25:B25"/>
    <mergeCell ref="A26:B26"/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Agnieszka Rejnowicz</cp:lastModifiedBy>
  <cp:lastPrinted>2025-02-13T10:01:52Z</cp:lastPrinted>
  <dcterms:created xsi:type="dcterms:W3CDTF">2014-03-17T07:23:47Z</dcterms:created>
  <dcterms:modified xsi:type="dcterms:W3CDTF">2025-02-14T12:22:23Z</dcterms:modified>
</cp:coreProperties>
</file>